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pter 10\"/>
    </mc:Choice>
  </mc:AlternateContent>
  <bookViews>
    <workbookView xWindow="0" yWindow="0" windowWidth="28800" windowHeight="11145"/>
  </bookViews>
  <sheets>
    <sheet name="T-Accounts" sheetId="1" r:id="rId1"/>
    <sheet name="Bond Amortization" sheetId="8" r:id="rId2"/>
    <sheet name="Note Amortization" sheetId="7" r:id="rId3"/>
    <sheet name="Income Statement" sheetId="2" r:id="rId4"/>
    <sheet name="Equity" sheetId="4" r:id="rId5"/>
    <sheet name="Balance Sheet" sheetId="3" r:id="rId6"/>
  </sheets>
  <calcPr calcId="152511"/>
</workbook>
</file>

<file path=xl/calcChain.xml><?xml version="1.0" encoding="utf-8"?>
<calcChain xmlns="http://schemas.openxmlformats.org/spreadsheetml/2006/main">
  <c r="B12" i="8" l="1"/>
  <c r="B13" i="8"/>
  <c r="B14" i="8"/>
  <c r="B15" i="8"/>
  <c r="B11" i="8"/>
  <c r="C4" i="1" s="1"/>
  <c r="E10" i="8"/>
  <c r="C11" i="8" s="1"/>
  <c r="J11" i="1" s="1"/>
  <c r="D11" i="8" l="1"/>
  <c r="B3" i="1"/>
  <c r="F7" i="1"/>
  <c r="E11" i="8" l="1"/>
  <c r="G7" i="1"/>
  <c r="B12" i="4"/>
  <c r="B7" i="1"/>
  <c r="J17" i="1"/>
  <c r="C16" i="1"/>
  <c r="B6" i="2"/>
  <c r="B14" i="7"/>
  <c r="C14" i="7"/>
  <c r="D14" i="7"/>
  <c r="F14" i="7"/>
  <c r="C15" i="7" s="1"/>
  <c r="D15" i="7" s="1"/>
  <c r="F15" i="7" s="1"/>
  <c r="B15" i="7"/>
  <c r="B16" i="7"/>
  <c r="B17" i="7"/>
  <c r="B18" i="7"/>
  <c r="B10" i="7"/>
  <c r="B11" i="7"/>
  <c r="B12" i="7"/>
  <c r="B13" i="7"/>
  <c r="B9" i="7"/>
  <c r="C4" i="7"/>
  <c r="F8" i="7"/>
  <c r="J12" i="1"/>
  <c r="I20" i="1"/>
  <c r="J13" i="1" l="1"/>
  <c r="B8" i="2" s="1"/>
  <c r="F11" i="1"/>
  <c r="G12" i="1" s="1"/>
  <c r="B15" i="3" s="1"/>
  <c r="C16" i="7"/>
  <c r="D16" i="7" s="1"/>
  <c r="F16" i="7"/>
  <c r="F8" i="1"/>
  <c r="C9" i="7"/>
  <c r="D9" i="7"/>
  <c r="F9" i="7" s="1"/>
  <c r="B17" i="1"/>
  <c r="B13" i="3"/>
  <c r="B7" i="4"/>
  <c r="B8" i="4" s="1"/>
  <c r="B19" i="3" s="1"/>
  <c r="A1" i="4"/>
  <c r="A1" i="3" s="1"/>
  <c r="B10" i="2"/>
  <c r="B9" i="2"/>
  <c r="B12" i="1"/>
  <c r="B7" i="3" s="1"/>
  <c r="B11" i="2" l="1"/>
  <c r="B13" i="2" s="1"/>
  <c r="B11" i="4" s="1"/>
  <c r="B13" i="4" s="1"/>
  <c r="B20" i="3" s="1"/>
  <c r="B21" i="3" s="1"/>
  <c r="C17" i="7"/>
  <c r="D17" i="7" s="1"/>
  <c r="F17" i="7"/>
  <c r="B8" i="3"/>
  <c r="B14" i="3"/>
  <c r="B16" i="3" s="1"/>
  <c r="B6" i="3"/>
  <c r="B10" i="3" s="1"/>
  <c r="C10" i="7"/>
  <c r="D10" i="7" s="1"/>
  <c r="F10" i="7" s="1"/>
  <c r="B23" i="3" l="1"/>
  <c r="C18" i="7"/>
  <c r="D18" i="7" s="1"/>
  <c r="F18" i="7"/>
  <c r="C12" i="8"/>
  <c r="D12" i="8" s="1"/>
  <c r="E12" i="8" s="1"/>
  <c r="B15" i="4"/>
  <c r="C11" i="7"/>
  <c r="D11" i="7" s="1"/>
  <c r="F11" i="7" s="1"/>
  <c r="C12" i="7" l="1"/>
  <c r="D12" i="7" s="1"/>
  <c r="F12" i="7" s="1"/>
  <c r="C13" i="8" l="1"/>
  <c r="D13" i="8" s="1"/>
  <c r="E13" i="8" s="1"/>
  <c r="C13" i="7"/>
  <c r="D13" i="7" s="1"/>
  <c r="F13" i="7" s="1"/>
  <c r="C14" i="8" l="1"/>
  <c r="D14" i="8" s="1"/>
  <c r="E14" i="8" s="1"/>
  <c r="C15" i="8" l="1"/>
  <c r="D15" i="8" s="1"/>
  <c r="E15" i="8" s="1"/>
</calcChain>
</file>

<file path=xl/sharedStrings.xml><?xml version="1.0" encoding="utf-8"?>
<sst xmlns="http://schemas.openxmlformats.org/spreadsheetml/2006/main" count="108" uniqueCount="74">
  <si>
    <t>Cash</t>
  </si>
  <si>
    <t>Retained Earnings</t>
  </si>
  <si>
    <t>Accounts Receivable</t>
  </si>
  <si>
    <t>Common Stock</t>
  </si>
  <si>
    <t>Interest Expense</t>
  </si>
  <si>
    <t>Income Statement</t>
  </si>
  <si>
    <t>Net Income</t>
  </si>
  <si>
    <t>Statement of Changes in Equity</t>
  </si>
  <si>
    <t>Beginning Common Stock</t>
  </si>
  <si>
    <t>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</si>
  <si>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</si>
  <si>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</si>
  <si>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</si>
  <si>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</si>
  <si>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</si>
  <si>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Balance Sheet</t>
  </si>
  <si>
    <t>Stockholders' Equity</t>
  </si>
  <si>
    <t>Total Stockholders' Equity</t>
  </si>
  <si>
    <t>Bonds Payable</t>
  </si>
  <si>
    <t>Discount on Bonds Payable</t>
  </si>
  <si>
    <t>Prepaid Rent</t>
  </si>
  <si>
    <t>Operating Expense</t>
  </si>
  <si>
    <t>Rent Expense</t>
  </si>
  <si>
    <t>Monterey Installation Company</t>
  </si>
  <si>
    <t>Service Revenue</t>
  </si>
  <si>
    <t>Expenses</t>
  </si>
  <si>
    <t>Long-Term Liabilities</t>
  </si>
  <si>
    <t>Total Liabilities</t>
  </si>
  <si>
    <t>Total Liabilities and Stockholders' Equity</t>
  </si>
  <si>
    <t>Notes Payable</t>
  </si>
  <si>
    <t>Total Current Assets</t>
  </si>
  <si>
    <t>Balance</t>
  </si>
  <si>
    <t>Payment Date</t>
  </si>
  <si>
    <t>Amount Borrowed</t>
  </si>
  <si>
    <t>Interest Rate</t>
  </si>
  <si>
    <t>Years Borrowed</t>
  </si>
  <si>
    <t>Amortized Discount</t>
  </si>
  <si>
    <t>Principal Reduction</t>
  </si>
  <si>
    <t>Years to Maturity</t>
  </si>
  <si>
    <t>Interest Payment (Cash)</t>
  </si>
  <si>
    <t>Carrying Value of Bond</t>
  </si>
  <si>
    <t>Payment</t>
  </si>
  <si>
    <t>Effective Interest rate</t>
  </si>
  <si>
    <t>(1)</t>
  </si>
  <si>
    <t>(2)</t>
  </si>
  <si>
    <t>(3)</t>
  </si>
  <si>
    <t>(4)</t>
  </si>
  <si>
    <t>(5)</t>
  </si>
  <si>
    <t>(6)</t>
  </si>
  <si>
    <t>(7)</t>
  </si>
  <si>
    <t>(8)</t>
  </si>
  <si>
    <t>12/31/2015</t>
  </si>
  <si>
    <t>12/31/2016</t>
  </si>
  <si>
    <t>12/31/2017.</t>
  </si>
  <si>
    <t>12/31/2018</t>
  </si>
  <si>
    <t>12/31/2019</t>
  </si>
  <si>
    <t>12/31/2017</t>
  </si>
  <si>
    <t>12/31/2020</t>
  </si>
  <si>
    <t>12/31/2021</t>
  </si>
  <si>
    <t>12/31/2022</t>
  </si>
  <si>
    <t>12/31/2023</t>
  </si>
  <si>
    <t>12/31/2024</t>
  </si>
  <si>
    <t>include some cents</t>
  </si>
  <si>
    <t>due solely to rounding issues as the payment would actually</t>
  </si>
  <si>
    <t>For the year ended December 31, 2015</t>
  </si>
  <si>
    <t>(9)</t>
  </si>
  <si>
    <t>Total Expenses</t>
  </si>
  <si>
    <t>(10)</t>
  </si>
  <si>
    <t>Dividends</t>
  </si>
  <si>
    <t>As of December 31, 2015</t>
  </si>
  <si>
    <t>Current Assets</t>
  </si>
  <si>
    <t>Sold at</t>
  </si>
  <si>
    <t>Face Value</t>
  </si>
  <si>
    <t>Stated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</si>
</sst>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  <numFmt numFmtId="168" formatCode="0.00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20"/>
      <color rgb="FF000000"/>
      <name val="Calibri"/>
      <family val="2"/>
    </font>
    <font>
      <u/>
      <sz val="10"/>
      <name val="Arial"/>
      <family val="2"/>
    </font>
    <font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37" fontId="5" fillId="0" borderId="2" xfId="0" applyNumberFormat="1" applyFont="1" applyBorder="1"/>
    <xf numFmtId="37" fontId="5" fillId="0" borderId="0" xfId="0" applyNumberFormat="1" applyFont="1"/>
    <xf numFmtId="37" fontId="5" fillId="0" borderId="0" xfId="0" applyNumberFormat="1" applyFont="1" applyBorder="1"/>
    <xf numFmtId="37" fontId="5" fillId="0" borderId="3" xfId="0" applyNumberFormat="1" applyFont="1" applyBorder="1"/>
    <xf numFmtId="37" fontId="5" fillId="0" borderId="4" xfId="0" applyNumberFormat="1" applyFont="1" applyBorder="1"/>
    <xf numFmtId="37" fontId="5" fillId="0" borderId="1" xfId="0" applyNumberFormat="1" applyFont="1" applyBorder="1"/>
    <xf numFmtId="37" fontId="5" fillId="0" borderId="5" xfId="0" applyNumberFormat="1" applyFont="1" applyBorder="1"/>
    <xf numFmtId="37" fontId="5" fillId="0" borderId="6" xfId="0" applyNumberFormat="1" applyFont="1" applyBorder="1"/>
    <xf numFmtId="0" fontId="5" fillId="0" borderId="0" xfId="0" applyFont="1" applyBorder="1" applyAlignment="1">
      <alignment horizontal="center"/>
    </xf>
    <xf numFmtId="37" fontId="5" fillId="0" borderId="7" xfId="0" applyNumberFormat="1" applyFont="1" applyBorder="1"/>
    <xf numFmtId="0" fontId="5" fillId="0" borderId="0" xfId="0" applyFont="1" applyBorder="1"/>
    <xf numFmtId="37" fontId="5" fillId="0" borderId="8" xfId="0" applyNumberFormat="1" applyFont="1" applyBorder="1"/>
    <xf numFmtId="164" fontId="5" fillId="0" borderId="3" xfId="1" applyNumberFormat="1" applyFont="1" applyBorder="1"/>
    <xf numFmtId="164" fontId="0" fillId="0" borderId="0" xfId="1" applyNumberFormat="1" applyFont="1"/>
    <xf numFmtId="0" fontId="5" fillId="0" borderId="0" xfId="0" quotePrefix="1" applyFont="1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8" fontId="0" fillId="0" borderId="0" xfId="0" applyNumberFormat="1"/>
    <xf numFmtId="166" fontId="0" fillId="0" borderId="0" xfId="3" applyNumberFormat="1" applyFont="1"/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/>
    <xf numFmtId="6" fontId="8" fillId="0" borderId="0" xfId="0" applyNumberFormat="1" applyFont="1" applyAlignment="1">
      <alignment horizontal="left" indent="3" readingOrder="1"/>
    </xf>
    <xf numFmtId="164" fontId="0" fillId="2" borderId="10" xfId="1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164" fontId="0" fillId="2" borderId="13" xfId="1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5" fillId="0" borderId="0" xfId="0" applyFont="1" applyBorder="1" applyAlignment="1">
      <alignment horizontal="center"/>
    </xf>
    <xf numFmtId="0" fontId="1" fillId="0" borderId="0" xfId="0" quotePrefix="1" applyFont="1"/>
    <xf numFmtId="37" fontId="1" fillId="0" borderId="0" xfId="0" quotePrefix="1" applyNumberFormat="1" applyFont="1"/>
    <xf numFmtId="37" fontId="1" fillId="0" borderId="0" xfId="0" quotePrefix="1" applyNumberFormat="1" applyFont="1" applyBorder="1"/>
    <xf numFmtId="0" fontId="5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14" fontId="8" fillId="0" borderId="0" xfId="0" applyNumberFormat="1" applyFont="1" applyAlignment="1">
      <alignment horizontal="right" indent="3"/>
    </xf>
    <xf numFmtId="37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6" fontId="0" fillId="0" borderId="0" xfId="0" applyNumberFormat="1"/>
    <xf numFmtId="0" fontId="1" fillId="2" borderId="9" xfId="0" applyFont="1" applyFill="1" applyBorder="1"/>
    <xf numFmtId="0" fontId="1" fillId="2" borderId="12" xfId="0" applyFont="1" applyFill="1" applyBorder="1"/>
    <xf numFmtId="167" fontId="0" fillId="0" borderId="0" xfId="1" applyNumberFormat="1" applyFont="1"/>
    <xf numFmtId="167" fontId="0" fillId="0" borderId="0" xfId="2" applyNumberFormat="1" applyFont="1"/>
    <xf numFmtId="167" fontId="0" fillId="0" borderId="0" xfId="0" applyNumberFormat="1"/>
    <xf numFmtId="0" fontId="0" fillId="0" borderId="0" xfId="0" applyFill="1"/>
    <xf numFmtId="0" fontId="5" fillId="0" borderId="0" xfId="0" applyFont="1" applyFill="1"/>
    <xf numFmtId="41" fontId="0" fillId="0" borderId="0" xfId="0" applyNumberFormat="1" applyFill="1"/>
    <xf numFmtId="0" fontId="5" fillId="0" borderId="0" xfId="0" applyFont="1" applyFill="1" applyAlignment="1">
      <alignment horizontal="left" indent="1"/>
    </xf>
    <xf numFmtId="41" fontId="0" fillId="0" borderId="0" xfId="0" applyNumberFormat="1" applyFill="1" applyBorder="1"/>
    <xf numFmtId="41" fontId="6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 indent="1"/>
    </xf>
    <xf numFmtId="167" fontId="7" fillId="0" borderId="0" xfId="0" applyNumberFormat="1" applyFont="1" applyFill="1"/>
    <xf numFmtId="167" fontId="0" fillId="0" borderId="0" xfId="0" applyNumberFormat="1" applyFill="1"/>
    <xf numFmtId="37" fontId="0" fillId="0" borderId="0" xfId="0" applyNumberFormat="1" applyFill="1"/>
    <xf numFmtId="0" fontId="0" fillId="0" borderId="0" xfId="0" applyFill="1" applyAlignment="1">
      <alignment horizontal="left" indent="1"/>
    </xf>
    <xf numFmtId="167" fontId="0" fillId="0" borderId="0" xfId="2" applyNumberFormat="1" applyFont="1" applyFill="1"/>
    <xf numFmtId="37" fontId="0" fillId="0" borderId="0" xfId="0" applyNumberFormat="1" applyFill="1" applyBorder="1"/>
    <xf numFmtId="0" fontId="0" fillId="0" borderId="0" xfId="0" applyFill="1" applyBorder="1"/>
    <xf numFmtId="37" fontId="9" fillId="0" borderId="0" xfId="0" applyNumberFormat="1" applyFont="1" applyFill="1" applyBorder="1"/>
    <xf numFmtId="167" fontId="10" fillId="0" borderId="0" xfId="0" applyNumberFormat="1" applyFont="1" applyFill="1" applyBorder="1"/>
    <xf numFmtId="37" fontId="1" fillId="0" borderId="0" xfId="0" quotePrefix="1" applyNumberFormat="1" applyFont="1" applyFill="1" applyBorder="1"/>
    <xf numFmtId="42" fontId="0" fillId="0" borderId="0" xfId="0" applyNumberFormat="1" applyFill="1"/>
    <xf numFmtId="37" fontId="4" fillId="0" borderId="0" xfId="0" applyNumberFormat="1" applyFont="1" applyFill="1" applyBorder="1"/>
    <xf numFmtId="42" fontId="7" fillId="0" borderId="0" xfId="0" applyNumberFormat="1" applyFont="1" applyFill="1"/>
    <xf numFmtId="168" fontId="0" fillId="0" borderId="0" xfId="3" applyNumberFormat="1" applyFont="1"/>
    <xf numFmtId="43" fontId="0" fillId="0" borderId="0" xfId="1" applyFont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17</xdr:row>
      <xdr:rowOff>142875</xdr:rowOff>
    </xdr:from>
    <xdr:to>
      <xdr:col>6</xdr:col>
      <xdr:colOff>419100</xdr:colOff>
      <xdr:row>19</xdr:row>
      <xdr:rowOff>152400</xdr:rowOff>
    </xdr:to>
    <xdr:cxnSp macro="">
      <xdr:nvCxnSpPr>
        <xdr:cNvPr id="3" name="Straight Arrow Connector 2"/>
        <xdr:cNvCxnSpPr/>
      </xdr:nvCxnSpPr>
      <xdr:spPr>
        <a:xfrm flipH="1" flipV="1">
          <a:off x="3924300" y="3057525"/>
          <a:ext cx="495300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Normal="100" workbookViewId="0">
      <selection activeCell="J11" sqref="J11"/>
    </sheetView>
  </sheetViews>
  <sheetFormatPr defaultRowHeight="12.75" x14ac:dyDescent="0.2"/>
  <cols>
    <col min="1" max="1" width="9.140625" style="35"/>
    <col min="2" max="2" width="12.5703125" style="1" customWidth="1"/>
    <col min="3" max="4" width="12" style="1" customWidth="1"/>
    <col min="5" max="5" width="8.85546875" style="35" customWidth="1"/>
    <col min="6" max="6" width="14.28515625" style="1" customWidth="1"/>
    <col min="7" max="8" width="14.42578125" style="1" customWidth="1"/>
    <col min="9" max="9" width="9.140625" style="35"/>
    <col min="10" max="10" width="13.42578125" style="1" customWidth="1"/>
    <col min="11" max="11" width="13.28515625" style="1" customWidth="1"/>
    <col min="12" max="12" width="9.85546875" style="1" customWidth="1"/>
    <col min="13" max="16384" width="9.140625" style="1"/>
  </cols>
  <sheetData>
    <row r="1" spans="1:12" x14ac:dyDescent="0.2">
      <c r="B1" s="71" t="s">
        <v>0</v>
      </c>
      <c r="C1" s="71"/>
      <c r="D1" s="31"/>
      <c r="F1" s="71" t="s">
        <v>18</v>
      </c>
      <c r="G1" s="71"/>
      <c r="H1" s="31"/>
      <c r="J1" s="71" t="s">
        <v>3</v>
      </c>
      <c r="K1" s="71"/>
    </row>
    <row r="2" spans="1:12" x14ac:dyDescent="0.2">
      <c r="A2" s="36" t="s">
        <v>43</v>
      </c>
      <c r="B2" s="14">
        <v>20000</v>
      </c>
      <c r="C2" s="3">
        <v>90000</v>
      </c>
      <c r="D2" s="33" t="s">
        <v>46</v>
      </c>
      <c r="F2" s="2"/>
      <c r="G2" s="3">
        <v>500000</v>
      </c>
      <c r="H2" s="33" t="s">
        <v>44</v>
      </c>
      <c r="J2" s="2"/>
      <c r="K2" s="11">
        <v>20000</v>
      </c>
      <c r="L2" s="32" t="s">
        <v>43</v>
      </c>
    </row>
    <row r="3" spans="1:12" x14ac:dyDescent="0.2">
      <c r="A3" s="36" t="s">
        <v>44</v>
      </c>
      <c r="B3" s="5">
        <f>500000*0.98</f>
        <v>490000</v>
      </c>
      <c r="C3" s="4">
        <v>167500</v>
      </c>
      <c r="D3" s="34" t="s">
        <v>48</v>
      </c>
      <c r="F3" s="4"/>
      <c r="G3" s="4"/>
      <c r="H3" s="4"/>
    </row>
    <row r="4" spans="1:12" x14ac:dyDescent="0.2">
      <c r="A4" s="36" t="s">
        <v>45</v>
      </c>
      <c r="B4" s="5">
        <v>500000</v>
      </c>
      <c r="C4" s="4">
        <f>+'Bond Amortization'!B11</f>
        <v>15000</v>
      </c>
      <c r="D4" s="34" t="s">
        <v>49</v>
      </c>
      <c r="F4" s="4"/>
      <c r="G4" s="4"/>
      <c r="H4" s="4"/>
    </row>
    <row r="5" spans="1:12" x14ac:dyDescent="0.2">
      <c r="A5" s="36" t="s">
        <v>48</v>
      </c>
      <c r="B5" s="5">
        <v>182000</v>
      </c>
      <c r="C5" s="4">
        <v>69552</v>
      </c>
      <c r="D5" s="34" t="s">
        <v>50</v>
      </c>
      <c r="F5" s="4"/>
      <c r="G5" s="4"/>
      <c r="H5" s="4"/>
    </row>
    <row r="6" spans="1:12" x14ac:dyDescent="0.2">
      <c r="A6" s="1"/>
      <c r="B6" s="6"/>
      <c r="C6" s="7">
        <v>20000</v>
      </c>
      <c r="D6" s="65" t="s">
        <v>67</v>
      </c>
      <c r="F6" s="71" t="s">
        <v>19</v>
      </c>
      <c r="G6" s="71"/>
      <c r="H6" s="31"/>
      <c r="J6" s="71" t="s">
        <v>24</v>
      </c>
      <c r="K6" s="71"/>
    </row>
    <row r="7" spans="1:12" x14ac:dyDescent="0.2">
      <c r="B7" s="5">
        <f>SUM(B2:B6)-SUM(C2:C6)</f>
        <v>829948</v>
      </c>
      <c r="C7" s="4"/>
      <c r="D7" s="4"/>
      <c r="E7" s="36" t="s">
        <v>44</v>
      </c>
      <c r="F7" s="8">
        <f>+G2-B3</f>
        <v>10000</v>
      </c>
      <c r="G7" s="13">
        <f>'Bond Amortization'!D11</f>
        <v>1865.7999999999993</v>
      </c>
      <c r="H7" s="34" t="s">
        <v>49</v>
      </c>
      <c r="J7" s="2"/>
      <c r="K7" s="11">
        <v>325000</v>
      </c>
      <c r="L7" s="32" t="s">
        <v>47</v>
      </c>
    </row>
    <row r="8" spans="1:12" x14ac:dyDescent="0.2">
      <c r="F8" s="2">
        <f>F7-G7</f>
        <v>8134.2000000000007</v>
      </c>
      <c r="G8" s="4"/>
      <c r="J8" s="10"/>
      <c r="K8" s="10"/>
    </row>
    <row r="9" spans="1:12" x14ac:dyDescent="0.2">
      <c r="C9" s="3"/>
      <c r="D9" s="3"/>
    </row>
    <row r="10" spans="1:12" x14ac:dyDescent="0.2">
      <c r="B10" s="71" t="s">
        <v>2</v>
      </c>
      <c r="C10" s="71"/>
      <c r="D10" s="31"/>
      <c r="F10" s="72" t="s">
        <v>29</v>
      </c>
      <c r="G10" s="71"/>
      <c r="H10" s="31"/>
      <c r="J10" s="71" t="s">
        <v>4</v>
      </c>
      <c r="K10" s="71"/>
    </row>
    <row r="11" spans="1:12" x14ac:dyDescent="0.2">
      <c r="A11" s="36" t="s">
        <v>47</v>
      </c>
      <c r="B11" s="8">
        <v>325000</v>
      </c>
      <c r="C11" s="9">
        <v>182000</v>
      </c>
      <c r="D11" s="34" t="s">
        <v>48</v>
      </c>
      <c r="F11" s="8">
        <f>+C5-J12</f>
        <v>37052</v>
      </c>
      <c r="G11" s="13">
        <v>500000</v>
      </c>
      <c r="H11" s="34" t="s">
        <v>45</v>
      </c>
      <c r="I11" s="36" t="s">
        <v>49</v>
      </c>
      <c r="J11" s="5">
        <f>+'Bond Amortization'!C11</f>
        <v>16865.8</v>
      </c>
      <c r="K11" s="10"/>
    </row>
    <row r="12" spans="1:12" x14ac:dyDescent="0.2">
      <c r="B12" s="5">
        <f>B11-C11</f>
        <v>143000</v>
      </c>
      <c r="C12" s="4"/>
      <c r="D12" s="4"/>
      <c r="F12" s="2"/>
      <c r="G12" s="4">
        <f>+G11-F11</f>
        <v>462948</v>
      </c>
      <c r="I12" s="36" t="s">
        <v>50</v>
      </c>
      <c r="J12" s="6">
        <f>+B4*0.065</f>
        <v>32500</v>
      </c>
      <c r="K12" s="7"/>
    </row>
    <row r="13" spans="1:12" x14ac:dyDescent="0.2">
      <c r="B13" s="4"/>
      <c r="C13" s="4"/>
      <c r="D13" s="4"/>
      <c r="I13" s="1"/>
      <c r="J13" s="2">
        <f>+J12+J11</f>
        <v>49365.8</v>
      </c>
    </row>
    <row r="14" spans="1:12" x14ac:dyDescent="0.2">
      <c r="B14" s="4"/>
      <c r="C14" s="4"/>
      <c r="D14" s="4"/>
      <c r="F14" s="4"/>
      <c r="G14" s="4"/>
      <c r="H14" s="4"/>
      <c r="I14" s="1"/>
    </row>
    <row r="15" spans="1:12" x14ac:dyDescent="0.2">
      <c r="B15" s="71" t="s">
        <v>20</v>
      </c>
      <c r="C15" s="71"/>
      <c r="D15" s="31"/>
      <c r="F15" s="4"/>
      <c r="G15" s="4"/>
      <c r="H15" s="4"/>
      <c r="I15" s="1"/>
    </row>
    <row r="16" spans="1:12" x14ac:dyDescent="0.2">
      <c r="A16" s="36" t="s">
        <v>46</v>
      </c>
      <c r="B16" s="8">
        <v>90000</v>
      </c>
      <c r="C16" s="9">
        <f>B16/24*10</f>
        <v>37500</v>
      </c>
      <c r="D16" s="34" t="s">
        <v>65</v>
      </c>
      <c r="F16" s="12"/>
      <c r="G16" s="12"/>
      <c r="H16" s="12"/>
      <c r="J16" s="71" t="s">
        <v>22</v>
      </c>
      <c r="K16" s="71"/>
    </row>
    <row r="17" spans="2:12" x14ac:dyDescent="0.2">
      <c r="B17" s="5">
        <f>B16-C16</f>
        <v>52500</v>
      </c>
      <c r="C17" s="3"/>
      <c r="D17" s="3"/>
      <c r="I17" s="36" t="s">
        <v>65</v>
      </c>
      <c r="J17" s="5">
        <f>+C16</f>
        <v>37500</v>
      </c>
      <c r="K17" s="3"/>
    </row>
    <row r="19" spans="2:12" x14ac:dyDescent="0.2">
      <c r="B19" s="4"/>
      <c r="C19" s="4"/>
      <c r="D19" s="4"/>
      <c r="J19" s="71" t="s">
        <v>21</v>
      </c>
      <c r="K19" s="71"/>
    </row>
    <row r="20" spans="2:12" x14ac:dyDescent="0.2">
      <c r="B20" s="12"/>
      <c r="C20" s="4"/>
      <c r="D20" s="4"/>
      <c r="I20" s="38" t="str">
        <f>+D3</f>
        <v>(6)</v>
      </c>
      <c r="J20" s="2">
        <v>167500</v>
      </c>
      <c r="K20" s="3"/>
    </row>
    <row r="21" spans="2:12" x14ac:dyDescent="0.2">
      <c r="F21" s="23"/>
      <c r="G21" s="23"/>
      <c r="H21" s="23"/>
    </row>
    <row r="22" spans="2:12" x14ac:dyDescent="0.2">
      <c r="J22" s="72" t="s">
        <v>68</v>
      </c>
      <c r="K22" s="71"/>
      <c r="L22"/>
    </row>
    <row r="23" spans="2:12" ht="18.75" customHeight="1" x14ac:dyDescent="0.4">
      <c r="C23" s="23"/>
      <c r="D23" s="23"/>
      <c r="E23" s="37"/>
      <c r="F23"/>
      <c r="G23"/>
      <c r="H23"/>
      <c r="I23" s="36" t="s">
        <v>67</v>
      </c>
      <c r="J23" s="2">
        <v>20000</v>
      </c>
      <c r="K23" s="3"/>
      <c r="L23"/>
    </row>
    <row r="24" spans="2:12" ht="26.25" x14ac:dyDescent="0.4">
      <c r="E24" s="37"/>
      <c r="F24" s="24"/>
      <c r="G24" s="24"/>
      <c r="H24" s="24"/>
      <c r="I24" s="39"/>
      <c r="J24" s="24"/>
      <c r="K24"/>
      <c r="L24" s="24"/>
    </row>
    <row r="25" spans="2:12" ht="26.25" x14ac:dyDescent="0.4">
      <c r="E25" s="37"/>
      <c r="F25" s="24"/>
      <c r="G25" s="24"/>
      <c r="H25" s="24"/>
      <c r="I25" s="39"/>
      <c r="J25" s="24"/>
      <c r="K25"/>
      <c r="L25" s="24"/>
    </row>
    <row r="26" spans="2:12" ht="26.25" x14ac:dyDescent="0.4">
      <c r="E26" s="37"/>
      <c r="F26" s="24"/>
      <c r="G26" s="24"/>
      <c r="H26" s="24"/>
      <c r="I26" s="39"/>
      <c r="J26" s="24"/>
      <c r="K26"/>
      <c r="L26" s="24"/>
    </row>
    <row r="27" spans="2:12" ht="26.25" x14ac:dyDescent="0.4">
      <c r="C27" s="23"/>
      <c r="D27" s="23"/>
      <c r="E27" s="37"/>
      <c r="F27" s="24"/>
      <c r="G27" s="24"/>
      <c r="H27" s="24"/>
      <c r="I27" s="39"/>
      <c r="J27" s="24"/>
      <c r="K27"/>
      <c r="L27" s="24"/>
    </row>
    <row r="28" spans="2:12" ht="26.25" x14ac:dyDescent="0.4">
      <c r="E28" s="37"/>
      <c r="F28" s="24"/>
      <c r="G28" s="24"/>
      <c r="H28" s="24"/>
      <c r="I28" s="39"/>
      <c r="J28" s="24"/>
      <c r="K28"/>
      <c r="L28" s="24"/>
    </row>
  </sheetData>
  <mergeCells count="12">
    <mergeCell ref="J19:K19"/>
    <mergeCell ref="J22:K22"/>
    <mergeCell ref="B15:C15"/>
    <mergeCell ref="J16:K16"/>
    <mergeCell ref="F6:G6"/>
    <mergeCell ref="F10:G10"/>
    <mergeCell ref="B1:C1"/>
    <mergeCell ref="F1:G1"/>
    <mergeCell ref="J1:K1"/>
    <mergeCell ref="J6:K6"/>
    <mergeCell ref="J10:K10"/>
    <mergeCell ref="B10:C10"/>
  </mergeCells>
  <phoneticPr fontId="2" type="noConversion"/>
  <pageMargins left="0.75" right="0.75" top="1" bottom="1" header="0.5" footer="0.5"/>
  <pageSetup scale="92" orientation="portrait" horizontalDpi="300" verticalDpi="300" r:id="rId1"/>
  <headerFooter alignWithMargins="0">
    <oddFooter>&amp;C&amp;A</oddFooter>
  </headerFooter>
  <ignoredErrors>
    <ignoredError sqref="A2:A16 E7 H2:H7 I11:I23 L2:L7 D2:D16 H9:H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C4" sqref="C4"/>
    </sheetView>
  </sheetViews>
  <sheetFormatPr defaultRowHeight="12.75" x14ac:dyDescent="0.2"/>
  <cols>
    <col min="1" max="1" width="12.42578125" customWidth="1"/>
    <col min="2" max="2" width="10.28515625" bestFit="1" customWidth="1"/>
    <col min="3" max="3" width="13" customWidth="1"/>
    <col min="4" max="4" width="11.85546875" customWidth="1"/>
    <col min="5" max="5" width="10.85546875" customWidth="1"/>
  </cols>
  <sheetData>
    <row r="1" spans="1:5" x14ac:dyDescent="0.2">
      <c r="A1" s="40" t="s">
        <v>72</v>
      </c>
      <c r="C1" s="18">
        <v>500000</v>
      </c>
    </row>
    <row r="2" spans="1:5" x14ac:dyDescent="0.2">
      <c r="A2" s="40" t="s">
        <v>73</v>
      </c>
      <c r="C2" s="20">
        <v>0.03</v>
      </c>
    </row>
    <row r="3" spans="1:5" x14ac:dyDescent="0.2">
      <c r="A3" s="23" t="s">
        <v>42</v>
      </c>
      <c r="C3" s="69">
        <v>3.4419999999999999E-2</v>
      </c>
    </row>
    <row r="4" spans="1:5" ht="13.5" customHeight="1" x14ac:dyDescent="0.2">
      <c r="A4" s="1" t="s">
        <v>38</v>
      </c>
      <c r="C4">
        <v>5</v>
      </c>
    </row>
    <row r="5" spans="1:5" ht="13.5" customHeight="1" x14ac:dyDescent="0.2">
      <c r="A5" s="40" t="s">
        <v>71</v>
      </c>
      <c r="C5" s="70">
        <v>0.98</v>
      </c>
    </row>
    <row r="6" spans="1:5" x14ac:dyDescent="0.2">
      <c r="A6" s="1"/>
      <c r="C6" s="18"/>
    </row>
    <row r="7" spans="1:5" ht="11.25" customHeight="1" x14ac:dyDescent="0.2">
      <c r="D7" s="19"/>
    </row>
    <row r="8" spans="1:5" ht="38.25" x14ac:dyDescent="0.2">
      <c r="A8" s="17" t="s">
        <v>32</v>
      </c>
      <c r="B8" s="17" t="s">
        <v>39</v>
      </c>
      <c r="C8" s="17" t="s">
        <v>4</v>
      </c>
      <c r="D8" s="17" t="s">
        <v>36</v>
      </c>
      <c r="E8" s="17" t="s">
        <v>40</v>
      </c>
    </row>
    <row r="9" spans="1:5" x14ac:dyDescent="0.2">
      <c r="B9" s="15"/>
      <c r="C9" s="15"/>
    </row>
    <row r="10" spans="1:5" x14ac:dyDescent="0.2">
      <c r="B10" s="44"/>
      <c r="C10" s="45"/>
      <c r="D10" s="46"/>
      <c r="E10" s="45">
        <f>+C1*C5</f>
        <v>490000</v>
      </c>
    </row>
    <row r="11" spans="1:5" x14ac:dyDescent="0.2">
      <c r="A11" s="32" t="s">
        <v>51</v>
      </c>
      <c r="B11" s="45">
        <f>$C$1*$C$2</f>
        <v>15000</v>
      </c>
      <c r="C11" s="45">
        <f>+E10*$C$3</f>
        <v>16865.8</v>
      </c>
      <c r="D11" s="45">
        <f>+C11-B11</f>
        <v>1865.7999999999993</v>
      </c>
      <c r="E11" s="45">
        <f>+E10+D11</f>
        <v>491865.8</v>
      </c>
    </row>
    <row r="12" spans="1:5" x14ac:dyDescent="0.2">
      <c r="A12" s="32" t="s">
        <v>52</v>
      </c>
      <c r="B12" s="45">
        <f t="shared" ref="B12:B15" si="0">$C$1*$C$2</f>
        <v>15000</v>
      </c>
      <c r="C12" s="45">
        <f>+E11*$C$3</f>
        <v>16930.020836</v>
      </c>
      <c r="D12" s="45">
        <f>+C12-B12</f>
        <v>1930.0208359999997</v>
      </c>
      <c r="E12" s="45">
        <f t="shared" ref="E12:E15" si="1">+E11+D12</f>
        <v>493795.82083599997</v>
      </c>
    </row>
    <row r="13" spans="1:5" x14ac:dyDescent="0.2">
      <c r="A13" s="32" t="s">
        <v>53</v>
      </c>
      <c r="B13" s="45">
        <f t="shared" si="0"/>
        <v>15000</v>
      </c>
      <c r="C13" s="45">
        <f>+E12*$C$3</f>
        <v>16996.45215317512</v>
      </c>
      <c r="D13" s="45">
        <f>+C13-B13</f>
        <v>1996.4521531751197</v>
      </c>
      <c r="E13" s="45">
        <f t="shared" si="1"/>
        <v>495792.27298917511</v>
      </c>
    </row>
    <row r="14" spans="1:5" x14ac:dyDescent="0.2">
      <c r="A14" s="32" t="s">
        <v>54</v>
      </c>
      <c r="B14" s="45">
        <f t="shared" si="0"/>
        <v>15000</v>
      </c>
      <c r="C14" s="45">
        <f>+E13*$C$3</f>
        <v>17065.170036287407</v>
      </c>
      <c r="D14" s="45">
        <f>+C14-B14</f>
        <v>2065.1700362874071</v>
      </c>
      <c r="E14" s="45">
        <f t="shared" si="1"/>
        <v>497857.4430254625</v>
      </c>
    </row>
    <row r="15" spans="1:5" x14ac:dyDescent="0.2">
      <c r="A15" s="32" t="s">
        <v>55</v>
      </c>
      <c r="B15" s="45">
        <f t="shared" si="0"/>
        <v>15000</v>
      </c>
      <c r="C15" s="45">
        <f>+E14*$C$3</f>
        <v>17136.253188936418</v>
      </c>
      <c r="D15" s="45">
        <f>+C15-B15</f>
        <v>2136.2531889364182</v>
      </c>
      <c r="E15" s="45">
        <f t="shared" si="1"/>
        <v>499993.69621439895</v>
      </c>
    </row>
    <row r="16" spans="1:5" x14ac:dyDescent="0.2">
      <c r="A16" s="16"/>
      <c r="B16" s="15"/>
      <c r="D16" s="15"/>
      <c r="E16" s="22"/>
    </row>
    <row r="17" spans="2:4" x14ac:dyDescent="0.2">
      <c r="B17" s="15"/>
      <c r="D17" s="15"/>
    </row>
    <row r="18" spans="2:4" x14ac:dyDescent="0.2">
      <c r="B18" s="15"/>
      <c r="C18" s="15"/>
      <c r="D18" s="15"/>
    </row>
    <row r="19" spans="2:4" x14ac:dyDescent="0.2">
      <c r="B19" s="15"/>
      <c r="C19" s="15"/>
      <c r="D19" s="15"/>
    </row>
    <row r="20" spans="2:4" x14ac:dyDescent="0.2">
      <c r="B20" s="15"/>
      <c r="C20" s="15"/>
      <c r="D20" s="15"/>
    </row>
    <row r="21" spans="2:4" x14ac:dyDescent="0.2">
      <c r="B21" s="15"/>
      <c r="C21" s="15"/>
      <c r="D21" s="15"/>
    </row>
  </sheetData>
  <pageMargins left="0.7" right="0.7" top="0.75" bottom="0.75" header="0.3" footer="0.3"/>
  <pageSetup scale="76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C14" sqref="C14"/>
    </sheetView>
  </sheetViews>
  <sheetFormatPr defaultRowHeight="12.75" x14ac:dyDescent="0.2"/>
  <cols>
    <col min="1" max="1" width="12.42578125" customWidth="1"/>
    <col min="2" max="2" width="11.28515625" bestFit="1" customWidth="1"/>
    <col min="3" max="3" width="11.42578125" customWidth="1"/>
    <col min="4" max="4" width="10.85546875" customWidth="1"/>
    <col min="5" max="5" width="2.5703125" customWidth="1"/>
    <col min="6" max="6" width="11.42578125" bestFit="1" customWidth="1"/>
  </cols>
  <sheetData>
    <row r="1" spans="1:6" x14ac:dyDescent="0.2">
      <c r="A1" s="1" t="s">
        <v>33</v>
      </c>
      <c r="C1" s="18">
        <v>500000</v>
      </c>
    </row>
    <row r="2" spans="1:6" x14ac:dyDescent="0.2">
      <c r="A2" s="1" t="s">
        <v>34</v>
      </c>
      <c r="C2" s="20">
        <v>6.5000000000000002E-2</v>
      </c>
    </row>
    <row r="3" spans="1:6" x14ac:dyDescent="0.2">
      <c r="A3" s="1" t="s">
        <v>35</v>
      </c>
      <c r="C3">
        <v>10</v>
      </c>
    </row>
    <row r="4" spans="1:6" x14ac:dyDescent="0.2">
      <c r="A4" s="40" t="s">
        <v>41</v>
      </c>
      <c r="C4" s="41">
        <f>PMT(C2,C3,-C1)</f>
        <v>69552.345027833901</v>
      </c>
    </row>
    <row r="5" spans="1:6" x14ac:dyDescent="0.2">
      <c r="C5" s="19"/>
    </row>
    <row r="6" spans="1:6" s="21" customFormat="1" ht="25.5" x14ac:dyDescent="0.2">
      <c r="A6" s="17" t="s">
        <v>32</v>
      </c>
      <c r="B6" s="17" t="s">
        <v>41</v>
      </c>
      <c r="C6" s="17" t="s">
        <v>4</v>
      </c>
      <c r="D6" s="17" t="s">
        <v>37</v>
      </c>
      <c r="E6" s="17"/>
      <c r="F6" s="17" t="s">
        <v>31</v>
      </c>
    </row>
    <row r="7" spans="1:6" x14ac:dyDescent="0.2">
      <c r="B7" s="15"/>
      <c r="C7" s="15"/>
      <c r="D7" s="15"/>
      <c r="E7" s="15"/>
      <c r="F7" s="15"/>
    </row>
    <row r="8" spans="1:6" x14ac:dyDescent="0.2">
      <c r="B8" s="44"/>
      <c r="C8" s="44"/>
      <c r="D8" s="44"/>
      <c r="E8" s="44"/>
      <c r="F8" s="45">
        <f>+C1</f>
        <v>500000</v>
      </c>
    </row>
    <row r="9" spans="1:6" x14ac:dyDescent="0.2">
      <c r="A9" s="32" t="s">
        <v>51</v>
      </c>
      <c r="B9" s="45">
        <f>+$C$4</f>
        <v>69552.345027833901</v>
      </c>
      <c r="C9" s="45">
        <f>F8*$C$2</f>
        <v>32500</v>
      </c>
      <c r="D9" s="45">
        <f>B9-C9</f>
        <v>37052.345027833901</v>
      </c>
      <c r="E9" s="45"/>
      <c r="F9" s="45">
        <f>F8-D9</f>
        <v>462947.65497216611</v>
      </c>
    </row>
    <row r="10" spans="1:6" x14ac:dyDescent="0.2">
      <c r="A10" s="32" t="s">
        <v>52</v>
      </c>
      <c r="B10" s="45">
        <f t="shared" ref="B10:B18" si="0">+$C$4</f>
        <v>69552.345027833901</v>
      </c>
      <c r="C10" s="45">
        <f>F9*$C$2</f>
        <v>30091.5975731908</v>
      </c>
      <c r="D10" s="45">
        <f>B10-C10</f>
        <v>39460.747454643104</v>
      </c>
      <c r="E10" s="45"/>
      <c r="F10" s="45">
        <f>F9-D10</f>
        <v>423486.90751752304</v>
      </c>
    </row>
    <row r="11" spans="1:6" x14ac:dyDescent="0.2">
      <c r="A11" s="32" t="s">
        <v>56</v>
      </c>
      <c r="B11" s="45">
        <f t="shared" si="0"/>
        <v>69552.345027833901</v>
      </c>
      <c r="C11" s="45">
        <f>F10*$C$2</f>
        <v>27526.648988638997</v>
      </c>
      <c r="D11" s="45">
        <f>B11-C11</f>
        <v>42025.696039194903</v>
      </c>
      <c r="E11" s="45"/>
      <c r="F11" s="45">
        <f>F10-D11</f>
        <v>381461.21147832816</v>
      </c>
    </row>
    <row r="12" spans="1:6" x14ac:dyDescent="0.2">
      <c r="A12" s="32" t="s">
        <v>54</v>
      </c>
      <c r="B12" s="45">
        <f t="shared" si="0"/>
        <v>69552.345027833901</v>
      </c>
      <c r="C12" s="45">
        <f>F11*$C$2</f>
        <v>24794.978746091332</v>
      </c>
      <c r="D12" s="45">
        <f>B12-C12</f>
        <v>44757.366281742565</v>
      </c>
      <c r="E12" s="45"/>
      <c r="F12" s="45">
        <f>F11-D12</f>
        <v>336703.84519658558</v>
      </c>
    </row>
    <row r="13" spans="1:6" x14ac:dyDescent="0.2">
      <c r="A13" s="32" t="s">
        <v>55</v>
      </c>
      <c r="B13" s="45">
        <f t="shared" si="0"/>
        <v>69552.345027833901</v>
      </c>
      <c r="C13" s="45">
        <f>F12*$C$2</f>
        <v>21885.749937778062</v>
      </c>
      <c r="D13" s="45">
        <f>B13-C13-2</f>
        <v>47664.595090055838</v>
      </c>
      <c r="E13" s="45"/>
      <c r="F13" s="45">
        <f>F12-D13</f>
        <v>289039.25010652974</v>
      </c>
    </row>
    <row r="14" spans="1:6" x14ac:dyDescent="0.2">
      <c r="A14" s="32" t="s">
        <v>57</v>
      </c>
      <c r="B14" s="45">
        <f t="shared" si="0"/>
        <v>69552.345027833901</v>
      </c>
      <c r="C14" s="45">
        <f t="shared" ref="C14:C18" si="1">F13*$C$2</f>
        <v>18787.551256924435</v>
      </c>
      <c r="D14" s="45">
        <f t="shared" ref="D14:D18" si="2">B14-C14-2</f>
        <v>50762.793770909469</v>
      </c>
      <c r="E14" s="45"/>
      <c r="F14" s="45">
        <f t="shared" ref="F14:F18" si="3">F13-D14</f>
        <v>238276.45633562026</v>
      </c>
    </row>
    <row r="15" spans="1:6" x14ac:dyDescent="0.2">
      <c r="A15" s="32" t="s">
        <v>58</v>
      </c>
      <c r="B15" s="45">
        <f t="shared" si="0"/>
        <v>69552.345027833901</v>
      </c>
      <c r="C15" s="45">
        <f t="shared" si="1"/>
        <v>15487.969661815318</v>
      </c>
      <c r="D15" s="45">
        <f t="shared" si="2"/>
        <v>54062.375366018583</v>
      </c>
      <c r="E15" s="45"/>
      <c r="F15" s="45">
        <f t="shared" si="3"/>
        <v>184214.08096960167</v>
      </c>
    </row>
    <row r="16" spans="1:6" x14ac:dyDescent="0.2">
      <c r="A16" s="32" t="s">
        <v>59</v>
      </c>
      <c r="B16" s="45">
        <f t="shared" si="0"/>
        <v>69552.345027833901</v>
      </c>
      <c r="C16" s="45">
        <f t="shared" si="1"/>
        <v>11973.915263024108</v>
      </c>
      <c r="D16" s="45">
        <f t="shared" si="2"/>
        <v>57576.429764809793</v>
      </c>
      <c r="E16" s="45"/>
      <c r="F16" s="45">
        <f t="shared" si="3"/>
        <v>126637.65120479188</v>
      </c>
    </row>
    <row r="17" spans="1:12" x14ac:dyDescent="0.2">
      <c r="A17" s="32" t="s">
        <v>60</v>
      </c>
      <c r="B17" s="45">
        <f t="shared" si="0"/>
        <v>69552.345027833901</v>
      </c>
      <c r="C17" s="45">
        <f t="shared" si="1"/>
        <v>8231.447328311473</v>
      </c>
      <c r="D17" s="45">
        <f t="shared" si="2"/>
        <v>61318.897699522429</v>
      </c>
      <c r="E17" s="45"/>
      <c r="F17" s="45">
        <f t="shared" si="3"/>
        <v>65318.753505269451</v>
      </c>
    </row>
    <row r="18" spans="1:12" x14ac:dyDescent="0.2">
      <c r="A18" s="32" t="s">
        <v>61</v>
      </c>
      <c r="B18" s="45">
        <f t="shared" si="0"/>
        <v>69552.345027833901</v>
      </c>
      <c r="C18" s="45">
        <f t="shared" si="1"/>
        <v>4245.7189778425145</v>
      </c>
      <c r="D18" s="45">
        <f t="shared" si="2"/>
        <v>65304.626049991384</v>
      </c>
      <c r="E18" s="45"/>
      <c r="F18" s="45">
        <f t="shared" si="3"/>
        <v>14.127455278066918</v>
      </c>
    </row>
    <row r="19" spans="1:12" x14ac:dyDescent="0.2">
      <c r="B19" s="15"/>
      <c r="C19" s="15"/>
      <c r="D19" s="15"/>
      <c r="E19" s="15"/>
      <c r="F19" s="15"/>
    </row>
    <row r="20" spans="1:12" ht="13.5" thickBot="1" x14ac:dyDescent="0.25"/>
    <row r="21" spans="1:12" x14ac:dyDescent="0.2">
      <c r="G21" s="42" t="s">
        <v>63</v>
      </c>
      <c r="H21" s="25"/>
      <c r="I21" s="26"/>
      <c r="J21" s="26"/>
      <c r="K21" s="26"/>
      <c r="L21" s="27"/>
    </row>
    <row r="22" spans="1:12" ht="13.5" thickBot="1" x14ac:dyDescent="0.25">
      <c r="G22" s="43" t="s">
        <v>62</v>
      </c>
      <c r="H22" s="28"/>
      <c r="I22" s="29"/>
      <c r="J22" s="29"/>
      <c r="K22" s="29"/>
      <c r="L22" s="30"/>
    </row>
  </sheetData>
  <pageMargins left="0.7" right="0.7" top="0.75" bottom="0.75" header="0.3" footer="0.3"/>
  <pageSetup orientation="portrait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B8" sqref="B8"/>
    </sheetView>
  </sheetViews>
  <sheetFormatPr defaultRowHeight="12.75" x14ac:dyDescent="0.2"/>
  <cols>
    <col min="1" max="1" width="25" style="47" bestFit="1" customWidth="1"/>
    <col min="2" max="2" width="12" style="47" customWidth="1"/>
    <col min="3" max="16384" width="9.140625" style="47"/>
  </cols>
  <sheetData>
    <row r="1" spans="1:2" x14ac:dyDescent="0.2">
      <c r="A1" s="73" t="s">
        <v>23</v>
      </c>
      <c r="B1" s="73"/>
    </row>
    <row r="2" spans="1:2" x14ac:dyDescent="0.2">
      <c r="A2" s="73" t="s">
        <v>5</v>
      </c>
      <c r="B2" s="73"/>
    </row>
    <row r="3" spans="1:2" x14ac:dyDescent="0.2">
      <c r="A3" s="73" t="s">
        <v>64</v>
      </c>
      <c r="B3" s="73"/>
    </row>
    <row r="6" spans="1:2" x14ac:dyDescent="0.2">
      <c r="A6" s="48" t="s">
        <v>24</v>
      </c>
      <c r="B6" s="57">
        <f>+'T-Accounts'!K7</f>
        <v>325000</v>
      </c>
    </row>
    <row r="7" spans="1:2" x14ac:dyDescent="0.2">
      <c r="A7" s="48" t="s">
        <v>25</v>
      </c>
      <c r="B7" s="49"/>
    </row>
    <row r="8" spans="1:2" x14ac:dyDescent="0.2">
      <c r="A8" s="50" t="s">
        <v>4</v>
      </c>
      <c r="B8" s="49">
        <f>+'T-Accounts'!J13</f>
        <v>49365.8</v>
      </c>
    </row>
    <row r="9" spans="1:2" x14ac:dyDescent="0.2">
      <c r="A9" s="50" t="s">
        <v>22</v>
      </c>
      <c r="B9" s="51">
        <f>'T-Accounts'!J17</f>
        <v>37500</v>
      </c>
    </row>
    <row r="10" spans="1:2" ht="15" x14ac:dyDescent="0.35">
      <c r="A10" s="50" t="s">
        <v>21</v>
      </c>
      <c r="B10" s="52">
        <f>'T-Accounts'!J20</f>
        <v>167500</v>
      </c>
    </row>
    <row r="11" spans="1:2" x14ac:dyDescent="0.2">
      <c r="A11" s="55" t="s">
        <v>66</v>
      </c>
      <c r="B11" s="49">
        <f>SUM(B8:B10)</f>
        <v>254365.8</v>
      </c>
    </row>
    <row r="13" spans="1:2" ht="15" x14ac:dyDescent="0.35">
      <c r="A13" s="53" t="s">
        <v>6</v>
      </c>
      <c r="B13" s="56">
        <f>+B6-B11</f>
        <v>70634.200000000012</v>
      </c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workbookViewId="0">
      <selection activeCell="D9" sqref="D9"/>
    </sheetView>
  </sheetViews>
  <sheetFormatPr defaultRowHeight="12.75" x14ac:dyDescent="0.2"/>
  <cols>
    <col min="1" max="1" width="29.42578125" style="47" customWidth="1"/>
    <col min="2" max="2" width="14.42578125" style="47" customWidth="1"/>
    <col min="3" max="16384" width="9.140625" style="47"/>
  </cols>
  <sheetData>
    <row r="1" spans="1:2" x14ac:dyDescent="0.2">
      <c r="A1" s="73" t="str">
        <f>'Income Statement'!A1:B1</f>
        <v>Monterey Installation Company</v>
      </c>
      <c r="B1" s="73"/>
    </row>
    <row r="2" spans="1:2" x14ac:dyDescent="0.2">
      <c r="A2" s="73" t="s">
        <v>7</v>
      </c>
      <c r="B2" s="73"/>
    </row>
    <row r="3" spans="1:2" x14ac:dyDescent="0.2">
      <c r="A3" s="73" t="s">
        <v>64</v>
      </c>
      <c r="B3" s="73"/>
    </row>
    <row r="6" spans="1:2" x14ac:dyDescent="0.2">
      <c r="A6" s="48" t="s">
        <v>8</v>
      </c>
      <c r="B6" s="60">
        <v>0</v>
      </c>
    </row>
    <row r="7" spans="1:2" ht="15" x14ac:dyDescent="0.35">
      <c r="A7" s="50" t="s">
        <v>9</v>
      </c>
      <c r="B7" s="52">
        <f>'T-Accounts'!K2</f>
        <v>20000</v>
      </c>
    </row>
    <row r="8" spans="1:2" x14ac:dyDescent="0.2">
      <c r="A8" s="48" t="s">
        <v>10</v>
      </c>
      <c r="B8" s="61">
        <f>B6+B7</f>
        <v>20000</v>
      </c>
    </row>
    <row r="9" spans="1:2" x14ac:dyDescent="0.2">
      <c r="B9" s="62"/>
    </row>
    <row r="10" spans="1:2" x14ac:dyDescent="0.2">
      <c r="A10" s="47" t="s">
        <v>11</v>
      </c>
      <c r="B10" s="51">
        <v>0</v>
      </c>
    </row>
    <row r="11" spans="1:2" x14ac:dyDescent="0.2">
      <c r="A11" s="59" t="s">
        <v>12</v>
      </c>
      <c r="B11" s="49">
        <f>+'Income Statement'!B13</f>
        <v>70634.200000000012</v>
      </c>
    </row>
    <row r="12" spans="1:2" ht="15" x14ac:dyDescent="0.35">
      <c r="A12" s="59" t="s">
        <v>13</v>
      </c>
      <c r="B12" s="52">
        <f>+'T-Accounts'!J23</f>
        <v>20000</v>
      </c>
    </row>
    <row r="13" spans="1:2" x14ac:dyDescent="0.2">
      <c r="A13" s="47" t="s">
        <v>14</v>
      </c>
      <c r="B13" s="51">
        <f>B10+B11-B12</f>
        <v>50634.200000000012</v>
      </c>
    </row>
    <row r="14" spans="1:2" x14ac:dyDescent="0.2">
      <c r="B14" s="51"/>
    </row>
    <row r="15" spans="1:2" x14ac:dyDescent="0.2">
      <c r="A15" s="47" t="s">
        <v>17</v>
      </c>
      <c r="B15" s="64">
        <f>B8+B13</f>
        <v>70634.200000000012</v>
      </c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WhiteSpace="0" zoomScaleNormal="100" workbookViewId="0">
      <selection activeCell="B14" sqref="B14"/>
    </sheetView>
  </sheetViews>
  <sheetFormatPr defaultRowHeight="12.75" x14ac:dyDescent="0.2"/>
  <cols>
    <col min="1" max="1" width="40" style="47" customWidth="1"/>
    <col min="2" max="2" width="11.5703125" style="47" customWidth="1"/>
    <col min="3" max="16384" width="9.140625" style="47"/>
  </cols>
  <sheetData>
    <row r="1" spans="1:2" x14ac:dyDescent="0.2">
      <c r="A1" s="73" t="str">
        <f>Equity!A1</f>
        <v>Monterey Installation Company</v>
      </c>
      <c r="B1" s="73"/>
    </row>
    <row r="2" spans="1:2" x14ac:dyDescent="0.2">
      <c r="A2" s="73" t="s">
        <v>15</v>
      </c>
      <c r="B2" s="73"/>
    </row>
    <row r="3" spans="1:2" x14ac:dyDescent="0.2">
      <c r="A3" s="73" t="s">
        <v>69</v>
      </c>
      <c r="B3" s="73"/>
    </row>
    <row r="5" spans="1:2" x14ac:dyDescent="0.2">
      <c r="A5" s="54" t="s">
        <v>70</v>
      </c>
    </row>
    <row r="6" spans="1:2" x14ac:dyDescent="0.2">
      <c r="A6" s="59" t="s">
        <v>0</v>
      </c>
      <c r="B6" s="66">
        <f>'T-Accounts'!B7</f>
        <v>829948</v>
      </c>
    </row>
    <row r="7" spans="1:2" x14ac:dyDescent="0.2">
      <c r="A7" s="50" t="s">
        <v>2</v>
      </c>
      <c r="B7" s="51">
        <f>'T-Accounts'!B12</f>
        <v>143000</v>
      </c>
    </row>
    <row r="8" spans="1:2" ht="15" x14ac:dyDescent="0.35">
      <c r="A8" s="50" t="s">
        <v>20</v>
      </c>
      <c r="B8" s="52">
        <f>'T-Accounts'!B17</f>
        <v>52500</v>
      </c>
    </row>
    <row r="9" spans="1:2" ht="15" x14ac:dyDescent="0.35">
      <c r="A9" s="50"/>
      <c r="B9" s="52"/>
    </row>
    <row r="10" spans="1:2" ht="15" x14ac:dyDescent="0.35">
      <c r="A10" s="54" t="s">
        <v>30</v>
      </c>
      <c r="B10" s="68">
        <f>SUM(B6:B8)</f>
        <v>1025448</v>
      </c>
    </row>
    <row r="12" spans="1:2" x14ac:dyDescent="0.2">
      <c r="A12" s="48" t="s">
        <v>26</v>
      </c>
    </row>
    <row r="13" spans="1:2" x14ac:dyDescent="0.2">
      <c r="A13" s="50" t="s">
        <v>18</v>
      </c>
      <c r="B13" s="58">
        <f>'T-Accounts'!G2</f>
        <v>500000</v>
      </c>
    </row>
    <row r="14" spans="1:2" x14ac:dyDescent="0.2">
      <c r="A14" s="50" t="s">
        <v>19</v>
      </c>
      <c r="B14" s="67">
        <f>-'T-Accounts'!F8</f>
        <v>-8134.2000000000007</v>
      </c>
    </row>
    <row r="15" spans="1:2" x14ac:dyDescent="0.2">
      <c r="A15" s="55" t="s">
        <v>29</v>
      </c>
      <c r="B15" s="63">
        <f>+'T-Accounts'!G12</f>
        <v>462948</v>
      </c>
    </row>
    <row r="16" spans="1:2" x14ac:dyDescent="0.2">
      <c r="A16" s="48" t="s">
        <v>27</v>
      </c>
      <c r="B16" s="61">
        <f>SUM(B13:B15)</f>
        <v>954813.8</v>
      </c>
    </row>
    <row r="17" spans="1:2" x14ac:dyDescent="0.2">
      <c r="A17" s="48"/>
      <c r="B17" s="61"/>
    </row>
    <row r="18" spans="1:2" x14ac:dyDescent="0.2">
      <c r="A18" s="47" t="s">
        <v>16</v>
      </c>
      <c r="B18" s="62"/>
    </row>
    <row r="19" spans="1:2" x14ac:dyDescent="0.2">
      <c r="A19" s="59" t="s">
        <v>3</v>
      </c>
      <c r="B19" s="58">
        <f>Equity!B8</f>
        <v>20000</v>
      </c>
    </row>
    <row r="20" spans="1:2" ht="15" x14ac:dyDescent="0.35">
      <c r="A20" s="59" t="s">
        <v>1</v>
      </c>
      <c r="B20" s="52">
        <f>Equity!B13</f>
        <v>50634.200000000012</v>
      </c>
    </row>
    <row r="21" spans="1:2" x14ac:dyDescent="0.2">
      <c r="A21" s="47" t="s">
        <v>17</v>
      </c>
      <c r="B21" s="51">
        <f>+B20+B19</f>
        <v>70634.200000000012</v>
      </c>
    </row>
    <row r="22" spans="1:2" x14ac:dyDescent="0.2">
      <c r="B22" s="51"/>
    </row>
    <row r="23" spans="1:2" ht="15" x14ac:dyDescent="0.35">
      <c r="A23" s="48" t="s">
        <v>28</v>
      </c>
      <c r="B23" s="68">
        <f>+B21+B16</f>
        <v>1025448</v>
      </c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T-Accounts</vt:lpstr>
      <vt:lpstr>Bond Amortization</vt:lpstr>
      <vt:lpstr>Note Amortization</vt:lpstr>
      <vt:lpstr>Income Statement</vt:lpstr>
      <vt:lpstr>Equity</vt:lpstr>
      <vt:lpstr>Balance Sheet</vt:lpstr>
    </vt:vector>
  </TitlesOfParts>
  <Company>Episcopal High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Brown</dc:creator>
  <cp:lastModifiedBy>Desktop Services</cp:lastModifiedBy>
  <cp:lastPrinted>2008-08-26T17:32:29Z</cp:lastPrinted>
  <dcterms:created xsi:type="dcterms:W3CDTF">2007-06-12T13:16:16Z</dcterms:created>
  <dcterms:modified xsi:type="dcterms:W3CDTF">2016-11-15T16:14:25Z</dcterms:modified>
</cp:coreProperties>
</file>